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60" yWindow="180" windowWidth="25080" windowHeight="13940" tabRatio="500" activeTab="0"/>
  </bookViews>
  <sheets>
    <sheet name="MS5803 or MS5607" sheetId="1" r:id="rId1"/>
    <sheet name="differences" sheetId="2" r:id="rId2"/>
  </sheets>
  <definedNames/>
  <calcPr fullCalcOnLoad="1"/>
</workbook>
</file>

<file path=xl/sharedStrings.xml><?xml version="1.0" encoding="utf-8"?>
<sst xmlns="http://schemas.openxmlformats.org/spreadsheetml/2006/main" count="100" uniqueCount="74">
  <si>
    <t>base pressure at 20 °C</t>
  </si>
  <si>
    <t>base offset at 20 °C</t>
  </si>
  <si>
    <t>un-compensated pressur in mbar</t>
  </si>
  <si>
    <t>un-compensated pressure in 0.01 mbar</t>
  </si>
  <si>
    <t>at base temperature 20 °C</t>
  </si>
  <si>
    <t>offset °C compensation terms</t>
  </si>
  <si>
    <t>Combine individual terms</t>
  </si>
  <si>
    <t>mbar20= (P0 -F0)</t>
  </si>
  <si>
    <t>mbar20+DT</t>
  </si>
  <si>
    <t>alternative calculation order</t>
  </si>
  <si>
    <t>enter mbar (20 °C)</t>
  </si>
  <si>
    <t>Enter comparison values</t>
  </si>
  <si>
    <t>C1</t>
  </si>
  <si>
    <t>C2</t>
  </si>
  <si>
    <t>C3</t>
  </si>
  <si>
    <t>C4</t>
  </si>
  <si>
    <t>C5</t>
  </si>
  <si>
    <t>C6</t>
  </si>
  <si>
    <t>D1</t>
  </si>
  <si>
    <t>D2</t>
  </si>
  <si>
    <t>TEMP = 2000+dT*C6/2^23</t>
  </si>
  <si>
    <t>P=(D1*SENS/2^21-OFF)/2^15</t>
  </si>
  <si>
    <t>dT=D2-C5*2^8</t>
  </si>
  <si>
    <t>DT=PT-FT</t>
  </si>
  <si>
    <t>P25+DT</t>
  </si>
  <si>
    <t>OFF=C2*2^17+(C4*dT)/2^6</t>
  </si>
  <si>
    <t>SENS=C1*2^16+(c3*dT)/2^7</t>
  </si>
  <si>
    <t>counts per 30 degC</t>
  </si>
  <si>
    <t>counts per degC</t>
  </si>
  <si>
    <t>counts per 0.1 degC</t>
  </si>
  <si>
    <t>total change over -40 to +85</t>
  </si>
  <si>
    <t>temperature coefficient:</t>
  </si>
  <si>
    <t>millibar</t>
  </si>
  <si>
    <t>°C/count</t>
  </si>
  <si>
    <t>F0= C2*4</t>
  </si>
  <si>
    <t>P0= D1*C1*/2^20</t>
  </si>
  <si>
    <t>P25= (P0 -F0)</t>
  </si>
  <si>
    <t>PT= D1*C3*dT/2^43</t>
  </si>
  <si>
    <t>FT= C4*dT/2^21</t>
  </si>
  <si>
    <t>offset</t>
  </si>
  <si>
    <t>total compensation</t>
  </si>
  <si>
    <t>slope</t>
  </si>
  <si>
    <t>Individual terms</t>
  </si>
  <si>
    <t>D1*C3/</t>
  </si>
  <si>
    <t>temperature °C</t>
  </si>
  <si>
    <t>int(count/2^16)</t>
  </si>
  <si>
    <t>mod(count/2^16)</t>
  </si>
  <si>
    <t>enter temperarture °C</t>
  </si>
  <si>
    <t>parts</t>
  </si>
  <si>
    <t>D2 count</t>
  </si>
  <si>
    <t>pressure coefficient:</t>
  </si>
  <si>
    <t>D1 count</t>
  </si>
  <si>
    <t>counts per mb at 20 °C</t>
  </si>
  <si>
    <t>mbar at 20 °C</t>
  </si>
  <si>
    <t>int(D2 / 2^16)</t>
  </si>
  <si>
    <t>mod(D2 / 2^16)</t>
  </si>
  <si>
    <t>pressure mbar</t>
  </si>
  <si>
    <t>int(D / 2^16)mod(d/2^160</t>
  </si>
  <si>
    <t>degrees Celsius</t>
  </si>
  <si>
    <t>Second order corrections for Tempereature&lt;20*C</t>
  </si>
  <si>
    <t>T2 = dT^2 / 2^31</t>
  </si>
  <si>
    <t>TEMP2</t>
  </si>
  <si>
    <t>OFF=OFF-OFF1</t>
  </si>
  <si>
    <t>SENS=-SENS-SENS1</t>
  </si>
  <si>
    <t>OFF1 = 61*(TEMP-2000)^2/2^4</t>
  </si>
  <si>
    <t>SENS1=2*(TEMP-2000)^2</t>
  </si>
  <si>
    <t>individual terms</t>
  </si>
  <si>
    <t>P0= D1*C1 / 2^20</t>
  </si>
  <si>
    <t>DT2=PT2-FT2</t>
  </si>
  <si>
    <t>P</t>
  </si>
  <si>
    <t>FT2=OFF1/2^21</t>
  </si>
  <si>
    <t>PT2=D1*SENS2/2^43</t>
  </si>
  <si>
    <t>Exploration, given parameters C1 to C6, the values of D1 that yield 20 to 50 °C are found, then  pressure sensitivity to the value of D1.</t>
  </si>
  <si>
    <t>Copied to this page as text.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</si>
</sst>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10"/>
      <color indexed="20"/>
      <name val="Verdana"/>
      <family val="0"/>
    </font>
    <font>
      <sz val="10"/>
      <color indexed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0" borderId="7" xfId="0" applyBorder="1" applyAlignment="1">
      <alignment/>
    </xf>
    <xf numFmtId="1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0" borderId="8" xfId="0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164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D40" sqref="D40"/>
    </sheetView>
  </sheetViews>
  <sheetFormatPr defaultColWidth="11.00390625" defaultRowHeight="12.75"/>
  <cols>
    <col min="1" max="1" width="25.25390625" style="0" customWidth="1"/>
    <col min="2" max="2" width="10.875" style="0" customWidth="1"/>
    <col min="3" max="3" width="11.00390625" style="0" bestFit="1" customWidth="1"/>
    <col min="4" max="5" width="10.875" style="0" bestFit="1" customWidth="1"/>
    <col min="9" max="9" width="11.00390625" style="0" bestFit="1" customWidth="1"/>
  </cols>
  <sheetData>
    <row r="1" spans="1:3" ht="12.75">
      <c r="A1" t="s">
        <v>12</v>
      </c>
      <c r="B1">
        <v>46372</v>
      </c>
      <c r="C1">
        <v>46372</v>
      </c>
    </row>
    <row r="2" spans="1:3" ht="12.75">
      <c r="A2" t="s">
        <v>13</v>
      </c>
      <c r="B2">
        <v>43981</v>
      </c>
      <c r="C2">
        <v>43981</v>
      </c>
    </row>
    <row r="3" spans="1:3" ht="12.75">
      <c r="A3" t="s">
        <v>14</v>
      </c>
      <c r="B3">
        <v>29059</v>
      </c>
      <c r="C3">
        <v>29059</v>
      </c>
    </row>
    <row r="4" spans="1:3" ht="12.75">
      <c r="A4" t="s">
        <v>15</v>
      </c>
      <c r="B4">
        <v>27842</v>
      </c>
      <c r="C4">
        <v>27842</v>
      </c>
    </row>
    <row r="5" spans="1:3" ht="12.75">
      <c r="A5" t="s">
        <v>16</v>
      </c>
      <c r="B5">
        <v>31553</v>
      </c>
      <c r="C5">
        <v>31553</v>
      </c>
    </row>
    <row r="6" spans="1:3" ht="12.75">
      <c r="A6" t="s">
        <v>17</v>
      </c>
      <c r="B6">
        <v>28165</v>
      </c>
      <c r="C6">
        <v>28165</v>
      </c>
    </row>
    <row r="8" spans="2:4" ht="12.75">
      <c r="B8" s="34" t="s">
        <v>11</v>
      </c>
      <c r="C8" s="34"/>
      <c r="D8" t="s">
        <v>57</v>
      </c>
    </row>
    <row r="9" spans="1:5" ht="12.75">
      <c r="A9" s="5" t="s">
        <v>18</v>
      </c>
      <c r="B9" s="5">
        <v>6239270</v>
      </c>
      <c r="C9" s="5">
        <v>6465390</v>
      </c>
      <c r="D9" s="1">
        <f>INT(C9/65536)</f>
        <v>98</v>
      </c>
      <c r="E9" s="1">
        <f>MOD(C9,65536)</f>
        <v>42862</v>
      </c>
    </row>
    <row r="10" spans="1:5" ht="12.75">
      <c r="A10" s="5" t="s">
        <v>19</v>
      </c>
      <c r="B10" s="6">
        <v>8077568</v>
      </c>
      <c r="C10" s="6">
        <v>7481887</v>
      </c>
      <c r="D10" s="1">
        <f>INT(C10/65536)</f>
        <v>114</v>
      </c>
      <c r="E10" s="1">
        <f>MOD(C10,65536)</f>
        <v>10783</v>
      </c>
    </row>
    <row r="11" spans="4:5" ht="12.75">
      <c r="D11" s="1"/>
      <c r="E11" s="1"/>
    </row>
    <row r="12" spans="1:5" ht="12.75">
      <c r="A12" t="s">
        <v>22</v>
      </c>
      <c r="B12">
        <f>B10-B5*256</f>
        <v>0</v>
      </c>
      <c r="C12">
        <f>C10-C5*256</f>
        <v>-595681</v>
      </c>
      <c r="D12" s="1">
        <f>INT(ABS(C12)/65536)</f>
        <v>9</v>
      </c>
      <c r="E12" s="1">
        <f>MOD(ABS(C12),65536)</f>
        <v>5857</v>
      </c>
    </row>
    <row r="13" spans="1:6" ht="12.75">
      <c r="A13" s="4" t="s">
        <v>20</v>
      </c>
      <c r="B13" s="2">
        <f>INT(2000+B12*B6/2^23)</f>
        <v>2000</v>
      </c>
      <c r="C13" s="2">
        <f>INT(2000+C12*C6/2^23)</f>
        <v>-1</v>
      </c>
      <c r="D13" s="1"/>
      <c r="E13" s="1"/>
      <c r="F13" t="s">
        <v>58</v>
      </c>
    </row>
    <row r="14" spans="4:5" ht="12.75">
      <c r="D14" s="1"/>
      <c r="E14" s="1"/>
    </row>
    <row r="15" spans="1:5" ht="12.75">
      <c r="A15" t="s">
        <v>25</v>
      </c>
      <c r="B15">
        <f>INT(B$2*2^17+(B$4*B$12)/2^6)</f>
        <v>5764677632</v>
      </c>
      <c r="C15">
        <f>INT(C$2*2^17+(C$4*C$12)/2^6)</f>
        <v>5505537781</v>
      </c>
      <c r="D15" s="1">
        <f>INT(ABS(C15)/65536)</f>
        <v>84007</v>
      </c>
      <c r="E15" s="1">
        <f>MOD(ABS(C15),65536)</f>
        <v>55029</v>
      </c>
    </row>
    <row r="16" spans="1:5" ht="12.75">
      <c r="A16" t="s">
        <v>26</v>
      </c>
      <c r="B16">
        <f>INT(B$1*2^16+(B$3*B$12)/2^7)</f>
        <v>3039035392</v>
      </c>
      <c r="C16">
        <f>INT(C$1*2^16+(C$3*C$12)/2^7)</f>
        <v>2903801843</v>
      </c>
      <c r="D16" s="1">
        <f>INT(ABS(C16)/65536)</f>
        <v>44308</v>
      </c>
      <c r="E16" s="1">
        <f>MOD(ABS(C16),65536)</f>
        <v>32755</v>
      </c>
    </row>
    <row r="17" spans="1:5" ht="12.75">
      <c r="A17" t="s">
        <v>21</v>
      </c>
      <c r="B17" s="25">
        <f>INT((B$9*B16/2^21-B15)/2^15)</f>
        <v>100000</v>
      </c>
      <c r="C17" s="25">
        <f>INT((C$9*C16/2^21-C15)/2^15)</f>
        <v>105185</v>
      </c>
      <c r="D17" s="1">
        <f>INT(ABS(C17)/65536)</f>
        <v>1</v>
      </c>
      <c r="E17" s="1">
        <f>MOD(ABS(C17),65536)</f>
        <v>39649</v>
      </c>
    </row>
    <row r="18" spans="1:6" ht="12.75">
      <c r="A18" s="4" t="s">
        <v>56</v>
      </c>
      <c r="B18" s="26">
        <f>(B17/100)</f>
        <v>1000</v>
      </c>
      <c r="C18" s="26">
        <f>C17/100</f>
        <v>1051.85</v>
      </c>
      <c r="D18" s="1">
        <f>INT(ABS(C18)/65536)</f>
        <v>0</v>
      </c>
      <c r="E18" s="1">
        <f>MOD(ABS(C18),65536)</f>
        <v>1051.85</v>
      </c>
      <c r="F18" t="s">
        <v>32</v>
      </c>
    </row>
    <row r="19" spans="2:5" ht="12.75">
      <c r="B19" s="3"/>
      <c r="C19" s="3"/>
      <c r="D19" s="1"/>
      <c r="E19" s="1"/>
    </row>
    <row r="20" spans="2:5" ht="12.75">
      <c r="B20" s="3"/>
      <c r="C20" s="3"/>
      <c r="D20" s="1"/>
      <c r="E20" s="1"/>
    </row>
    <row r="21" spans="1:5" ht="12.75">
      <c r="A21" t="s">
        <v>42</v>
      </c>
      <c r="B21" s="3"/>
      <c r="C21" s="3"/>
      <c r="D21" s="1"/>
      <c r="E21" s="1"/>
    </row>
    <row r="22" spans="1:5" ht="12.75">
      <c r="A22" t="s">
        <v>4</v>
      </c>
      <c r="B22" s="3"/>
      <c r="C22" s="3"/>
      <c r="D22" s="1"/>
      <c r="E22" s="1"/>
    </row>
    <row r="23" spans="1:6" ht="12.75">
      <c r="A23" t="s">
        <v>67</v>
      </c>
      <c r="B23">
        <f>INT(B9*B1/2^20)</f>
        <v>275924</v>
      </c>
      <c r="C23">
        <f>INT(C9*C1/2^20)</f>
        <v>285924</v>
      </c>
      <c r="D23" s="1">
        <f>INT(ABS(C23)/65536)</f>
        <v>4</v>
      </c>
      <c r="E23" s="1">
        <f>MOD(ABS(C23),65536)</f>
        <v>23780</v>
      </c>
      <c r="F23" t="s">
        <v>0</v>
      </c>
    </row>
    <row r="24" spans="1:6" ht="12.75">
      <c r="A24" t="s">
        <v>34</v>
      </c>
      <c r="B24">
        <f>B2*4</f>
        <v>175924</v>
      </c>
      <c r="C24">
        <f>C2*4</f>
        <v>175924</v>
      </c>
      <c r="D24" s="1">
        <f>INT(ABS(C24)/65536)</f>
        <v>2</v>
      </c>
      <c r="E24" s="1">
        <f>MOD(ABS(C24),65536)</f>
        <v>44852</v>
      </c>
      <c r="F24" t="s">
        <v>1</v>
      </c>
    </row>
    <row r="25" spans="1:6" ht="12.75">
      <c r="A25" t="s">
        <v>7</v>
      </c>
      <c r="B25">
        <f>(B23-B24)</f>
        <v>100000</v>
      </c>
      <c r="C25">
        <f>(C23-C24)</f>
        <v>110000</v>
      </c>
      <c r="D25" s="1">
        <f>INT(ABS(C25)/65536)</f>
        <v>1</v>
      </c>
      <c r="E25" s="1">
        <f>MOD(ABS(C25),65536)</f>
        <v>44464</v>
      </c>
      <c r="F25" t="s">
        <v>3</v>
      </c>
    </row>
    <row r="26" spans="2:6" ht="12.75">
      <c r="B26" s="3">
        <f>B25/100</f>
        <v>1000</v>
      </c>
      <c r="C26" s="3">
        <f>C25/100</f>
        <v>1100</v>
      </c>
      <c r="D26" s="1">
        <f>INT(ABS(C26)/65536)</f>
        <v>0</v>
      </c>
      <c r="E26" s="1">
        <f>MOD(ABS(C26),65536)</f>
        <v>1100</v>
      </c>
      <c r="F26" t="s">
        <v>2</v>
      </c>
    </row>
    <row r="27" spans="4:5" ht="12.75">
      <c r="D27" s="1"/>
      <c r="E27" s="1"/>
    </row>
    <row r="28" spans="1:5" ht="12.75">
      <c r="A28" t="s">
        <v>5</v>
      </c>
      <c r="D28" s="1"/>
      <c r="E28" s="1"/>
    </row>
    <row r="29" spans="1:9" ht="12.75">
      <c r="A29" t="s">
        <v>37</v>
      </c>
      <c r="B29">
        <f>INT(B$9*B$3*B$12/2^43)</f>
        <v>0</v>
      </c>
      <c r="C29">
        <f>INT(C$9*C$3*C$12/2^43)</f>
        <v>-12724</v>
      </c>
      <c r="D29" s="1">
        <f>INT(ABS(C29)/65536)</f>
        <v>0</v>
      </c>
      <c r="E29" s="1">
        <f>MOD(ABS(C29),65536)</f>
        <v>12724</v>
      </c>
      <c r="F29" t="s">
        <v>41</v>
      </c>
      <c r="H29">
        <f>INT(INT(C12/2^8*INT(C3*C9/2^16)/2^16)/2^3)</f>
        <v>-12724</v>
      </c>
      <c r="I29" t="s">
        <v>9</v>
      </c>
    </row>
    <row r="30" spans="1:8" ht="12.75">
      <c r="A30" t="s">
        <v>38</v>
      </c>
      <c r="B30">
        <f>INT(B$4*B$12/2^21)</f>
        <v>0</v>
      </c>
      <c r="C30">
        <f>INT(C$4*C$12/2^21)</f>
        <v>-7909</v>
      </c>
      <c r="D30" s="1">
        <f>INT(ABS(C30)/65536)</f>
        <v>0</v>
      </c>
      <c r="E30" s="1">
        <f>MOD(ABS(C30),65536)</f>
        <v>7909</v>
      </c>
      <c r="F30" t="s">
        <v>39</v>
      </c>
      <c r="H30">
        <f>INT(INT(C4*C12/2^16)/2^5)</f>
        <v>-7909</v>
      </c>
    </row>
    <row r="31" spans="1:6" ht="12.75">
      <c r="A31" t="s">
        <v>23</v>
      </c>
      <c r="B31">
        <f>B29-B30</f>
        <v>0</v>
      </c>
      <c r="C31">
        <f>C29-C30</f>
        <v>-4815</v>
      </c>
      <c r="D31" s="1">
        <f>INT(ABS(C31)/65536)</f>
        <v>0</v>
      </c>
      <c r="E31" s="1">
        <f>MOD(ABS(C31),65536)</f>
        <v>4815</v>
      </c>
      <c r="F31" t="s">
        <v>40</v>
      </c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1:5" ht="12.75">
      <c r="A35" t="s">
        <v>6</v>
      </c>
      <c r="D35" s="1"/>
      <c r="E35" s="1"/>
    </row>
    <row r="36" spans="1:5" ht="12.75">
      <c r="A36" t="s">
        <v>8</v>
      </c>
      <c r="B36">
        <f>B25+B31</f>
        <v>100000</v>
      </c>
      <c r="C36">
        <f>C25+C31</f>
        <v>105185</v>
      </c>
      <c r="D36" s="1"/>
      <c r="E36" s="1"/>
    </row>
    <row r="37" spans="1:6" ht="12.75">
      <c r="A37" s="4" t="s">
        <v>56</v>
      </c>
      <c r="B37" s="26">
        <f>B36/100</f>
        <v>1000</v>
      </c>
      <c r="C37" s="26">
        <f>C36/100</f>
        <v>1051.85</v>
      </c>
      <c r="D37" s="1"/>
      <c r="E37" s="1"/>
      <c r="F37" t="s">
        <v>32</v>
      </c>
    </row>
    <row r="40" ht="12.75">
      <c r="D40">
        <f>C31/C25</f>
        <v>-0.043772727272727276</v>
      </c>
    </row>
    <row r="41" ht="12.75">
      <c r="D41">
        <f>C30/C25</f>
        <v>-0.0719</v>
      </c>
    </row>
    <row r="44" ht="12.75">
      <c r="A44" t="s">
        <v>59</v>
      </c>
    </row>
    <row r="45" spans="1:3" ht="12.75">
      <c r="A45" t="s">
        <v>60</v>
      </c>
      <c r="B45">
        <f>B12^2/2^31</f>
        <v>0</v>
      </c>
      <c r="C45">
        <f>C12^2/2^31</f>
        <v>165.23332044528797</v>
      </c>
    </row>
    <row r="46" spans="1:3" ht="12.75">
      <c r="A46" t="s">
        <v>61</v>
      </c>
      <c r="B46" s="35">
        <f>B13-B45</f>
        <v>2000</v>
      </c>
      <c r="C46" s="35">
        <f>C13-C45</f>
        <v>-166.23332044528797</v>
      </c>
    </row>
    <row r="47" ht="12.75">
      <c r="H47">
        <f>6555*22.612</f>
        <v>148221.66</v>
      </c>
    </row>
    <row r="48" spans="1:5" ht="12.75">
      <c r="A48" t="s">
        <v>64</v>
      </c>
      <c r="B48">
        <f>61*(B13-2000)^2/2^4</f>
        <v>0</v>
      </c>
      <c r="C48">
        <f>61*(C13-2000)^2/2^4</f>
        <v>15265253.8125</v>
      </c>
      <c r="D48" s="1">
        <f>INT(ABS(C48)/65536)</f>
        <v>232</v>
      </c>
      <c r="E48" s="1">
        <f>MOD(ABS(C48),65536)</f>
        <v>60901.8125</v>
      </c>
    </row>
    <row r="49" spans="1:5" ht="12.75">
      <c r="A49" t="s">
        <v>65</v>
      </c>
      <c r="B49">
        <f>2*(B13-2000)^2</f>
        <v>0</v>
      </c>
      <c r="C49">
        <f>2*(C13-2000)^2</f>
        <v>8008002</v>
      </c>
      <c r="D49" s="1">
        <f>INT(ABS(C49)/65536)</f>
        <v>122</v>
      </c>
      <c r="E49" s="1">
        <f>MOD(ABS(C49),65536)</f>
        <v>12610</v>
      </c>
    </row>
    <row r="51" spans="1:5" ht="12.75">
      <c r="A51" t="s">
        <v>62</v>
      </c>
      <c r="B51">
        <f>B15-B48</f>
        <v>5764677632</v>
      </c>
      <c r="C51">
        <f>C15-C48</f>
        <v>5490272527.1875</v>
      </c>
      <c r="D51" s="1">
        <f>INT(ABS(C51)/65536)</f>
        <v>83774</v>
      </c>
      <c r="E51" s="1">
        <f>MOD(ABS(C51),65536)</f>
        <v>59663.1875</v>
      </c>
    </row>
    <row r="52" spans="1:5" ht="12.75">
      <c r="A52" t="s">
        <v>63</v>
      </c>
      <c r="B52">
        <f>B16-B49</f>
        <v>3039035392</v>
      </c>
      <c r="C52">
        <f>C16-C49</f>
        <v>2895793841</v>
      </c>
      <c r="D52" s="1">
        <f>INT(ABS(C52)/65536)</f>
        <v>44186</v>
      </c>
      <c r="E52" s="1">
        <f>MOD(ABS(C52),65536)</f>
        <v>20145</v>
      </c>
    </row>
    <row r="53" spans="1:5" ht="12.75">
      <c r="A53" t="s">
        <v>21</v>
      </c>
      <c r="B53" s="25">
        <f>((B$9*B52/2^21-B51)/2^15)</f>
        <v>100000.13753509521</v>
      </c>
      <c r="C53" s="25">
        <f>((C$9*C52/2^21-C51)/2^15)</f>
        <v>104897.48864677199</v>
      </c>
      <c r="D53" s="1">
        <f>INT(ABS(C53)/65536)</f>
        <v>1</v>
      </c>
      <c r="E53" s="1">
        <f>MOD(ABS(C53),65536)</f>
        <v>39361.48864677199</v>
      </c>
    </row>
    <row r="54" spans="1:6" ht="12.75">
      <c r="A54" s="4" t="s">
        <v>56</v>
      </c>
      <c r="B54" s="26">
        <f>B53/100</f>
        <v>1000.0013753509521</v>
      </c>
      <c r="C54" s="26">
        <f>C53/100</f>
        <v>1048.97488646772</v>
      </c>
      <c r="D54" s="1">
        <f>INT(ABS(C54)/65536)</f>
        <v>0</v>
      </c>
      <c r="E54" s="1">
        <f>MOD(ABS(C54),65536)</f>
        <v>1048.97488646772</v>
      </c>
      <c r="F54" t="s">
        <v>32</v>
      </c>
    </row>
    <row r="56" ht="12.75">
      <c r="A56" t="s">
        <v>66</v>
      </c>
    </row>
    <row r="57" spans="1:5" ht="12.75">
      <c r="A57" t="s">
        <v>71</v>
      </c>
      <c r="B57">
        <f>INT(B$9*B$3*B49/2^43)</f>
        <v>0</v>
      </c>
      <c r="C57">
        <f>INT(C49*C9/2^36)</f>
        <v>753</v>
      </c>
      <c r="D57" s="1">
        <f>INT(ABS(C57)/65536)</f>
        <v>0</v>
      </c>
      <c r="E57" s="1">
        <f>MOD(ABS(C57),65536)</f>
        <v>753</v>
      </c>
    </row>
    <row r="58" spans="1:5" ht="12.75">
      <c r="A58" t="s">
        <v>70</v>
      </c>
      <c r="B58">
        <f>INT(B$4*B48/2^21)</f>
        <v>0</v>
      </c>
      <c r="C58">
        <f>INT(C48/2^15)</f>
        <v>465</v>
      </c>
      <c r="D58" s="1">
        <f>INT(ABS(C58)/65536)</f>
        <v>0</v>
      </c>
      <c r="E58" s="1">
        <f>MOD(ABS(C58),65536)</f>
        <v>465</v>
      </c>
    </row>
    <row r="59" spans="1:3" ht="12.75">
      <c r="A59" t="s">
        <v>68</v>
      </c>
      <c r="B59">
        <f>B58-B57</f>
        <v>0</v>
      </c>
      <c r="C59">
        <f>C58-C57</f>
        <v>-288</v>
      </c>
    </row>
    <row r="60" spans="1:3" ht="12.75">
      <c r="A60" t="s">
        <v>69</v>
      </c>
      <c r="B60" s="35">
        <f>B53+B59</f>
        <v>100000.13753509521</v>
      </c>
      <c r="C60" s="35">
        <f>C36+C59</f>
        <v>104897</v>
      </c>
    </row>
    <row r="65" ht="13.5" thickBot="1"/>
    <row r="66" spans="1:5" ht="13.5" thickTop="1">
      <c r="A66" s="7" t="s">
        <v>31</v>
      </c>
      <c r="B66" s="17"/>
      <c r="C66" s="17"/>
      <c r="D66" s="17"/>
      <c r="E66" s="8"/>
    </row>
    <row r="67" spans="1:5" ht="12.75">
      <c r="A67" s="18">
        <v>893522</v>
      </c>
      <c r="B67" s="13" t="s">
        <v>27</v>
      </c>
      <c r="C67" s="13"/>
      <c r="D67" s="13"/>
      <c r="E67" s="10"/>
    </row>
    <row r="68" spans="1:5" ht="12.75">
      <c r="A68" s="18">
        <v>29784.066666666666</v>
      </c>
      <c r="B68" s="13" t="s">
        <v>28</v>
      </c>
      <c r="C68" s="13"/>
      <c r="D68" s="13"/>
      <c r="E68" s="10"/>
    </row>
    <row r="69" spans="1:5" ht="12.75">
      <c r="A69" s="18">
        <v>2978.4066666666668</v>
      </c>
      <c r="B69" s="13" t="s">
        <v>29</v>
      </c>
      <c r="C69" s="13"/>
      <c r="D69" s="13"/>
      <c r="E69" s="10"/>
    </row>
    <row r="70" spans="1:5" ht="12.75">
      <c r="A70" s="18">
        <v>3723008.333333333</v>
      </c>
      <c r="B70" s="13" t="s">
        <v>30</v>
      </c>
      <c r="C70" s="13"/>
      <c r="D70" s="13"/>
      <c r="E70" s="10"/>
    </row>
    <row r="71" spans="1:5" ht="12.75">
      <c r="A71" s="9">
        <v>3.357499871295838E-05</v>
      </c>
      <c r="B71" s="13" t="s">
        <v>33</v>
      </c>
      <c r="C71" s="13"/>
      <c r="D71" s="13"/>
      <c r="E71" s="10"/>
    </row>
    <row r="72" spans="1:5" ht="12.75">
      <c r="A72" s="9"/>
      <c r="B72" s="13"/>
      <c r="C72" s="13"/>
      <c r="D72" s="13"/>
      <c r="E72" s="10"/>
    </row>
    <row r="73" spans="1:5" ht="12.75">
      <c r="A73" s="9" t="s">
        <v>44</v>
      </c>
      <c r="B73" s="13" t="s">
        <v>49</v>
      </c>
      <c r="C73" s="13" t="s">
        <v>54</v>
      </c>
      <c r="D73" s="13" t="s">
        <v>55</v>
      </c>
      <c r="E73" s="10"/>
    </row>
    <row r="74" spans="1:5" ht="12.75">
      <c r="A74" s="9">
        <v>85</v>
      </c>
      <c r="B74" s="14">
        <v>10013532.333333334</v>
      </c>
      <c r="C74" s="13">
        <f aca="true" t="shared" si="0" ref="C74:C79">INT(B74/65536)</f>
        <v>152</v>
      </c>
      <c r="D74" s="14">
        <f aca="true" t="shared" si="1" ref="D74:D79">MOD(B74,65536)</f>
        <v>52060.333333333954</v>
      </c>
      <c r="E74" s="10"/>
    </row>
    <row r="75" spans="1:5" ht="12.75">
      <c r="A75" s="9">
        <v>50</v>
      </c>
      <c r="B75" s="14">
        <v>8971090</v>
      </c>
      <c r="C75" s="13">
        <f t="shared" si="0"/>
        <v>136</v>
      </c>
      <c r="D75" s="14">
        <f t="shared" si="1"/>
        <v>58194</v>
      </c>
      <c r="E75" s="10"/>
    </row>
    <row r="76" spans="1:9" ht="12.75">
      <c r="A76" s="9">
        <v>20</v>
      </c>
      <c r="B76" s="14">
        <v>8077568</v>
      </c>
      <c r="C76" s="13">
        <f t="shared" si="0"/>
        <v>123</v>
      </c>
      <c r="D76" s="14">
        <f t="shared" si="1"/>
        <v>16640</v>
      </c>
      <c r="E76" s="10"/>
      <c r="H76" s="13"/>
      <c r="I76" s="13"/>
    </row>
    <row r="77" spans="1:9" ht="12.75">
      <c r="A77" s="9">
        <v>0</v>
      </c>
      <c r="B77" s="14">
        <v>7481887</v>
      </c>
      <c r="C77" s="13">
        <f t="shared" si="0"/>
        <v>114</v>
      </c>
      <c r="D77" s="14">
        <f t="shared" si="1"/>
        <v>10783</v>
      </c>
      <c r="E77" s="10"/>
      <c r="H77" s="13"/>
      <c r="I77" s="13"/>
    </row>
    <row r="78" spans="1:9" ht="12.75">
      <c r="A78" s="9">
        <v>-20</v>
      </c>
      <c r="B78" s="14">
        <v>6886205.333333334</v>
      </c>
      <c r="C78" s="13">
        <f t="shared" si="0"/>
        <v>105</v>
      </c>
      <c r="D78" s="14">
        <f t="shared" si="1"/>
        <v>4925.333333333954</v>
      </c>
      <c r="E78" s="10"/>
      <c r="H78" s="13"/>
      <c r="I78" s="13"/>
    </row>
    <row r="79" spans="1:9" ht="12.75">
      <c r="A79" s="9">
        <v>-40</v>
      </c>
      <c r="B79" s="13">
        <v>6290524</v>
      </c>
      <c r="C79" s="13">
        <f t="shared" si="0"/>
        <v>95</v>
      </c>
      <c r="D79" s="14">
        <f t="shared" si="1"/>
        <v>64604</v>
      </c>
      <c r="E79" s="10"/>
      <c r="H79" s="13"/>
      <c r="I79" s="13"/>
    </row>
    <row r="80" spans="1:9" ht="12.75">
      <c r="A80" s="9"/>
      <c r="B80" s="13"/>
      <c r="C80" s="13"/>
      <c r="D80" s="13"/>
      <c r="E80" s="10"/>
      <c r="F80" s="1"/>
      <c r="G80" s="1"/>
      <c r="H80" s="13"/>
      <c r="I80" s="13"/>
    </row>
    <row r="81" spans="1:9" ht="12.75">
      <c r="A81" s="9"/>
      <c r="B81" s="13"/>
      <c r="C81" s="13"/>
      <c r="D81" s="13"/>
      <c r="E81" s="10"/>
      <c r="H81" s="13"/>
      <c r="I81" s="13"/>
    </row>
    <row r="82" spans="1:9" ht="12.75">
      <c r="A82" s="22" t="s">
        <v>47</v>
      </c>
      <c r="B82" s="23" t="s">
        <v>49</v>
      </c>
      <c r="C82" s="23" t="s">
        <v>48</v>
      </c>
      <c r="D82" s="23"/>
      <c r="E82" s="24"/>
      <c r="H82" s="13"/>
      <c r="I82" s="13"/>
    </row>
    <row r="83" spans="1:9" ht="12.75">
      <c r="A83" s="19">
        <v>-20</v>
      </c>
      <c r="B83" s="16">
        <f>B76-(A76-A83)*A68</f>
        <v>6886205.333333334</v>
      </c>
      <c r="C83" s="15">
        <f>INT(B83/65536)</f>
        <v>105</v>
      </c>
      <c r="D83" s="16">
        <f>MOD(B83,65536)</f>
        <v>4925.333333333954</v>
      </c>
      <c r="E83" s="21"/>
      <c r="H83" s="13"/>
      <c r="I83" s="13"/>
    </row>
    <row r="84" spans="1:9" ht="13.5" thickBot="1">
      <c r="A84" s="11"/>
      <c r="B84" s="20"/>
      <c r="C84" s="20"/>
      <c r="D84" s="20"/>
      <c r="E84" s="12"/>
      <c r="H84" s="13"/>
      <c r="I84" s="13"/>
    </row>
    <row r="85" spans="8:9" ht="13.5" thickTop="1">
      <c r="H85" s="13"/>
      <c r="I85" s="13"/>
    </row>
    <row r="86" spans="8:9" ht="12.75">
      <c r="H86" s="13"/>
      <c r="I86" s="13"/>
    </row>
    <row r="90" ht="13.5" thickBot="1"/>
    <row r="91" spans="1:5" ht="13.5" thickTop="1">
      <c r="A91" s="7" t="s">
        <v>50</v>
      </c>
      <c r="B91" s="17"/>
      <c r="C91" s="17"/>
      <c r="D91" s="17"/>
      <c r="E91" s="8"/>
    </row>
    <row r="92" spans="1:5" ht="12.75">
      <c r="A92" s="9">
        <v>2261.2</v>
      </c>
      <c r="B92" s="13" t="s">
        <v>52</v>
      </c>
      <c r="C92" s="13"/>
      <c r="D92" s="13"/>
      <c r="E92" s="10"/>
    </row>
    <row r="93" spans="1:5" ht="12.75">
      <c r="A93" s="9"/>
      <c r="B93" s="13"/>
      <c r="C93" s="13"/>
      <c r="D93" s="13"/>
      <c r="E93" s="10"/>
    </row>
    <row r="94" spans="1:5" ht="12.75">
      <c r="A94" s="9"/>
      <c r="B94" s="13"/>
      <c r="C94" s="13"/>
      <c r="D94" s="13"/>
      <c r="E94" s="10"/>
    </row>
    <row r="95" spans="1:5" ht="12.75">
      <c r="A95" s="9" t="s">
        <v>53</v>
      </c>
      <c r="B95" s="13" t="s">
        <v>18</v>
      </c>
      <c r="C95" s="13" t="s">
        <v>45</v>
      </c>
      <c r="D95" s="13" t="s">
        <v>46</v>
      </c>
      <c r="E95" s="10"/>
    </row>
    <row r="96" spans="1:5" ht="12.75">
      <c r="A96" s="9">
        <v>1100</v>
      </c>
      <c r="B96" s="13">
        <v>6465390</v>
      </c>
      <c r="C96" s="13">
        <f>INT(B96/65536)</f>
        <v>98</v>
      </c>
      <c r="D96" s="14">
        <f>MOD(B96,65536)</f>
        <v>42862</v>
      </c>
      <c r="E96" s="10"/>
    </row>
    <row r="97" spans="1:5" ht="12.75">
      <c r="A97" s="9">
        <v>1000</v>
      </c>
      <c r="B97" s="27">
        <v>6239270</v>
      </c>
      <c r="C97" s="13">
        <f>INT(B97/65536)</f>
        <v>95</v>
      </c>
      <c r="D97" s="14">
        <f>MOD(B97,65536)</f>
        <v>13350</v>
      </c>
      <c r="E97" s="10"/>
    </row>
    <row r="98" spans="1:5" ht="12.75">
      <c r="A98" s="9"/>
      <c r="B98" s="13"/>
      <c r="C98" s="13"/>
      <c r="D98" s="13"/>
      <c r="E98" s="10"/>
    </row>
    <row r="99" spans="1:5" ht="12.75">
      <c r="A99" s="30" t="s">
        <v>10</v>
      </c>
      <c r="B99" s="28" t="s">
        <v>51</v>
      </c>
      <c r="C99" s="28" t="s">
        <v>48</v>
      </c>
      <c r="D99" s="28"/>
      <c r="E99" s="31"/>
    </row>
    <row r="100" spans="1:5" ht="12.75">
      <c r="A100" s="19">
        <v>100</v>
      </c>
      <c r="B100" s="15">
        <f>B97+(A100-A97)*A92</f>
        <v>4204190</v>
      </c>
      <c r="C100" s="13">
        <f>INT(B100/65536)</f>
        <v>64</v>
      </c>
      <c r="D100" s="14">
        <f>MOD(B100,65536)</f>
        <v>9886</v>
      </c>
      <c r="E100" s="21"/>
    </row>
    <row r="101" spans="1:5" ht="12.75">
      <c r="A101" s="32"/>
      <c r="B101" s="29"/>
      <c r="C101" s="29"/>
      <c r="D101" s="29"/>
      <c r="E101" s="33"/>
    </row>
    <row r="102" spans="1:5" ht="12.75">
      <c r="A102" s="9"/>
      <c r="B102" s="13"/>
      <c r="C102" s="13"/>
      <c r="D102" s="13"/>
      <c r="E102" s="10"/>
    </row>
    <row r="103" spans="1:5" ht="12.75">
      <c r="A103" s="9"/>
      <c r="B103" s="13"/>
      <c r="C103" s="13"/>
      <c r="D103" s="13"/>
      <c r="E103" s="10"/>
    </row>
    <row r="104" spans="1:5" ht="12.75">
      <c r="A104" s="9"/>
      <c r="B104" s="13"/>
      <c r="C104" s="13"/>
      <c r="D104" s="13"/>
      <c r="E104" s="10"/>
    </row>
    <row r="105" spans="1:5" ht="12.75">
      <c r="A105" s="9"/>
      <c r="B105" s="13"/>
      <c r="C105" s="13"/>
      <c r="D105" s="13"/>
      <c r="E105" s="10"/>
    </row>
    <row r="106" spans="1:5" ht="12.75">
      <c r="A106" s="9"/>
      <c r="B106" s="13"/>
      <c r="C106" s="13"/>
      <c r="D106" s="13"/>
      <c r="E106" s="10"/>
    </row>
    <row r="107" spans="1:5" ht="12.75">
      <c r="A107" s="9"/>
      <c r="B107" s="13"/>
      <c r="C107" s="13"/>
      <c r="D107" s="13"/>
      <c r="E107" s="10"/>
    </row>
    <row r="108" spans="1:5" ht="12.75">
      <c r="A108" s="9"/>
      <c r="B108" s="13"/>
      <c r="C108" s="13"/>
      <c r="D108" s="13"/>
      <c r="E108" s="10"/>
    </row>
    <row r="109" spans="1:5" ht="12.75">
      <c r="A109" s="9"/>
      <c r="B109" s="13"/>
      <c r="C109" s="13"/>
      <c r="D109" s="13"/>
      <c r="E109" s="10"/>
    </row>
    <row r="110" spans="1:5" ht="12.75">
      <c r="A110" s="9"/>
      <c r="B110" s="13"/>
      <c r="C110" s="13"/>
      <c r="D110" s="13"/>
      <c r="E110" s="10"/>
    </row>
    <row r="111" spans="1:5" ht="12.75">
      <c r="A111" s="9"/>
      <c r="B111" s="13"/>
      <c r="C111" s="13"/>
      <c r="D111" s="13"/>
      <c r="E111" s="10"/>
    </row>
    <row r="112" spans="1:5" ht="12.75">
      <c r="A112" s="9"/>
      <c r="B112" s="13"/>
      <c r="C112" s="13"/>
      <c r="D112" s="13"/>
      <c r="E112" s="10"/>
    </row>
    <row r="113" spans="1:5" ht="13.5" thickBot="1">
      <c r="A113" s="11"/>
      <c r="B113" s="20"/>
      <c r="C113" s="20"/>
      <c r="D113" s="20"/>
      <c r="E113" s="12"/>
    </row>
    <row r="114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8" sqref="A38"/>
    </sheetView>
  </sheetViews>
  <sheetFormatPr defaultColWidth="11.00390625" defaultRowHeight="12.75"/>
  <cols>
    <col min="1" max="1" width="35.25390625" style="0" customWidth="1"/>
    <col min="2" max="2" width="14.00390625" style="0" customWidth="1"/>
  </cols>
  <sheetData>
    <row r="1" ht="12.75">
      <c r="A1" t="s">
        <v>72</v>
      </c>
    </row>
    <row r="2" ht="12.75">
      <c r="A2" t="s">
        <v>73</v>
      </c>
    </row>
    <row r="3" spans="1:5" ht="12.75">
      <c r="A3" t="s">
        <v>12</v>
      </c>
      <c r="B3">
        <v>46372</v>
      </c>
      <c r="C3">
        <v>46372</v>
      </c>
      <c r="E3">
        <f aca="true" t="shared" si="0" ref="E3:E8">C3-B3</f>
        <v>0</v>
      </c>
    </row>
    <row r="4" spans="1:5" ht="12.75">
      <c r="A4" t="s">
        <v>13</v>
      </c>
      <c r="B4">
        <v>43981</v>
      </c>
      <c r="C4">
        <v>43981</v>
      </c>
      <c r="E4">
        <f t="shared" si="0"/>
        <v>0</v>
      </c>
    </row>
    <row r="5" spans="1:5" ht="12.75">
      <c r="A5" t="s">
        <v>14</v>
      </c>
      <c r="B5">
        <v>29059</v>
      </c>
      <c r="C5">
        <v>29059</v>
      </c>
      <c r="E5">
        <f t="shared" si="0"/>
        <v>0</v>
      </c>
    </row>
    <row r="6" spans="1:5" ht="12.75">
      <c r="A6" t="s">
        <v>15</v>
      </c>
      <c r="B6">
        <v>27842</v>
      </c>
      <c r="C6">
        <v>27842</v>
      </c>
      <c r="E6">
        <f t="shared" si="0"/>
        <v>0</v>
      </c>
    </row>
    <row r="7" spans="1:5" ht="12.75">
      <c r="A7" t="s">
        <v>16</v>
      </c>
      <c r="B7">
        <v>31553</v>
      </c>
      <c r="C7">
        <v>31553</v>
      </c>
      <c r="E7">
        <f t="shared" si="0"/>
        <v>0</v>
      </c>
    </row>
    <row r="8" spans="1:5" ht="12.75">
      <c r="A8" t="s">
        <v>17</v>
      </c>
      <c r="B8">
        <v>28165</v>
      </c>
      <c r="C8">
        <v>28165</v>
      </c>
      <c r="E8">
        <f t="shared" si="0"/>
        <v>0</v>
      </c>
    </row>
    <row r="11" spans="1:5" ht="12.75">
      <c r="A11" t="s">
        <v>18</v>
      </c>
      <c r="B11">
        <v>6239270</v>
      </c>
      <c r="C11">
        <v>6465444</v>
      </c>
      <c r="E11">
        <f>C11-B11</f>
        <v>226174</v>
      </c>
    </row>
    <row r="12" spans="1:5" ht="12.75">
      <c r="A12" t="s">
        <v>19</v>
      </c>
      <c r="B12" s="1">
        <v>8077568</v>
      </c>
      <c r="C12" s="1">
        <v>8971090</v>
      </c>
      <c r="E12">
        <f>C12-B12</f>
        <v>893522</v>
      </c>
    </row>
    <row r="14" spans="1:5" ht="12.75">
      <c r="A14" t="s">
        <v>22</v>
      </c>
      <c r="B14">
        <v>0</v>
      </c>
      <c r="C14">
        <v>893522</v>
      </c>
      <c r="E14">
        <f>C14-B14</f>
        <v>893522</v>
      </c>
    </row>
    <row r="15" spans="1:5" ht="12.75">
      <c r="A15" t="s">
        <v>20</v>
      </c>
      <c r="B15" s="2">
        <v>2000</v>
      </c>
      <c r="C15" s="2">
        <v>5000.026599168778</v>
      </c>
      <c r="E15">
        <f>C15-B15</f>
        <v>3000.0265991687784</v>
      </c>
    </row>
    <row r="17" spans="1:5" ht="12.75">
      <c r="A17" t="s">
        <v>25</v>
      </c>
      <c r="B17">
        <v>5764677632</v>
      </c>
      <c r="C17">
        <v>6153387624.5625</v>
      </c>
      <c r="E17">
        <f>C17-B17</f>
        <v>388709992.5625</v>
      </c>
    </row>
    <row r="18" spans="1:5" ht="12.75">
      <c r="A18" t="s">
        <v>26</v>
      </c>
      <c r="B18">
        <v>3039035392</v>
      </c>
      <c r="C18">
        <v>3241885827.92187</v>
      </c>
      <c r="E18">
        <f>C18-B18</f>
        <v>202850435.92187023</v>
      </c>
    </row>
    <row r="19" spans="1:5" ht="12.75">
      <c r="A19" t="s">
        <v>21</v>
      </c>
      <c r="B19" s="2">
        <v>100000.1375350952</v>
      </c>
      <c r="C19" s="2">
        <v>117225.02111218672</v>
      </c>
      <c r="E19">
        <f>C19-B19</f>
        <v>17224.883577091518</v>
      </c>
    </row>
    <row r="20" spans="2:5" ht="12.75">
      <c r="B20" s="3">
        <v>1000.0013753509521</v>
      </c>
      <c r="C20" s="3">
        <v>1172.250211121867</v>
      </c>
      <c r="E20">
        <f>C20-B20</f>
        <v>172.24883577091498</v>
      </c>
    </row>
    <row r="21" spans="2:3" ht="12.75">
      <c r="B21" s="3"/>
      <c r="C21" s="3"/>
    </row>
    <row r="22" spans="2:3" ht="12.75">
      <c r="B22" s="3"/>
      <c r="C22" s="3"/>
    </row>
    <row r="23" spans="1:3" ht="12.75">
      <c r="A23" t="s">
        <v>42</v>
      </c>
      <c r="B23" s="3"/>
      <c r="C23" s="3"/>
    </row>
    <row r="24" spans="1:5" ht="12.75">
      <c r="A24" t="s">
        <v>35</v>
      </c>
      <c r="B24">
        <v>275924</v>
      </c>
      <c r="C24">
        <v>285926</v>
      </c>
      <c r="E24">
        <f>C24-B24</f>
        <v>10002</v>
      </c>
    </row>
    <row r="25" spans="1:5" ht="12.75">
      <c r="A25" t="s">
        <v>34</v>
      </c>
      <c r="B25">
        <v>175924</v>
      </c>
      <c r="C25">
        <v>175924</v>
      </c>
      <c r="E25">
        <f>C25-B25</f>
        <v>0</v>
      </c>
    </row>
    <row r="26" spans="1:5" ht="12.75">
      <c r="A26" t="s">
        <v>36</v>
      </c>
      <c r="B26">
        <v>100000</v>
      </c>
      <c r="C26">
        <v>110002</v>
      </c>
      <c r="E26">
        <f>C26-B26</f>
        <v>10002</v>
      </c>
    </row>
    <row r="27" spans="2:5" ht="12.75">
      <c r="B27" s="3">
        <v>1000</v>
      </c>
      <c r="C27" s="3">
        <v>1100.02</v>
      </c>
      <c r="E27">
        <f>C27-B27</f>
        <v>100.01999999999998</v>
      </c>
    </row>
    <row r="30" spans="1:5" ht="12.75">
      <c r="A30" t="s">
        <v>37</v>
      </c>
      <c r="B30">
        <v>0</v>
      </c>
      <c r="C30">
        <v>19085</v>
      </c>
      <c r="E30">
        <f>C30-B30</f>
        <v>19085</v>
      </c>
    </row>
    <row r="31" spans="1:5" ht="12.75">
      <c r="A31" t="s">
        <v>38</v>
      </c>
      <c r="B31">
        <v>0</v>
      </c>
      <c r="C31">
        <v>11862</v>
      </c>
      <c r="E31">
        <f>C31-B31</f>
        <v>11862</v>
      </c>
    </row>
    <row r="32" spans="1:5" ht="12.75">
      <c r="A32" t="s">
        <v>23</v>
      </c>
      <c r="B32">
        <v>0</v>
      </c>
      <c r="C32">
        <v>7223</v>
      </c>
      <c r="E32">
        <f>C32-B32</f>
        <v>7223</v>
      </c>
    </row>
    <row r="33" spans="1:5" ht="12.75">
      <c r="A33" t="s">
        <v>43</v>
      </c>
      <c r="E33">
        <f>C33-B33</f>
        <v>0</v>
      </c>
    </row>
    <row r="37" spans="1:5" ht="12.75">
      <c r="A37" t="s">
        <v>24</v>
      </c>
      <c r="B37">
        <v>100000</v>
      </c>
      <c r="C37">
        <v>117225</v>
      </c>
      <c r="E37">
        <f>C37-B37</f>
        <v>17225</v>
      </c>
    </row>
    <row r="38" spans="2:5" ht="12.75">
      <c r="B38" s="3">
        <v>1000</v>
      </c>
      <c r="C38" s="3">
        <v>1172.25</v>
      </c>
      <c r="E38">
        <f>C38-B38</f>
        <v>172.25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Allen</dc:creator>
  <cp:keywords/>
  <dc:description/>
  <cp:lastModifiedBy>Tracy Allen</cp:lastModifiedBy>
  <dcterms:created xsi:type="dcterms:W3CDTF">2011-10-22T04:28:12Z</dcterms:created>
  <cp:category/>
  <cp:version/>
  <cp:contentType/>
  <cp:contentStatus/>
</cp:coreProperties>
</file>