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390" windowHeight="69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<sst xmlns="http://schemas.openxmlformats.org/spreadsheetml/2006/main" count="127" uniqueCount="89">
  <si>
    <t>Offset</t>
  </si>
  <si>
    <t>Gain</t>
  </si>
  <si>
    <t># of steps</t>
  </si>
  <si>
    <t>Ideal Offset</t>
  </si>
  <si>
    <t>ADC Volts</t>
  </si>
  <si>
    <t>kPa</t>
  </si>
  <si>
    <t>inHg</t>
  </si>
  <si>
    <t>Pressure kPa</t>
  </si>
  <si>
    <t>Mid</t>
  </si>
  <si>
    <t>Sensor Low</t>
  </si>
  <si>
    <t>Sensor High</t>
  </si>
  <si>
    <t>Min Volts</t>
  </si>
  <si>
    <t>Max Volts</t>
  </si>
  <si>
    <t>MPX4115A Instrumentation Calculator</t>
  </si>
  <si>
    <t>ADC Step Volts</t>
  </si>
  <si>
    <t>Ideal Gain</t>
  </si>
  <si>
    <t>Use Offset of -3.0 for -150 &lt;&gt; 1500 meter elevation. Yields 24-32 inHg.</t>
  </si>
  <si>
    <t>Use Offset of -2.0 for 1800 &lt;&gt; 4000 meters elevation. Yields 18-25 inHg.</t>
  </si>
  <si>
    <t>Use Offset of -2.5 for 800 &lt;&gt; 2700 meters elevation. Yields 21-28 inHg.</t>
  </si>
  <si>
    <t>Use Offset of -0.0 for 7400 &lt;&gt; 14000 meters elevation. Yields 4-12 inHg.</t>
  </si>
  <si>
    <t>Precision</t>
  </si>
  <si>
    <t>Volts</t>
  </si>
  <si>
    <t>with Offset</t>
  </si>
  <si>
    <t>with Gain</t>
  </si>
  <si>
    <t>Sensor Voltage</t>
  </si>
  <si>
    <t>LED Calculator</t>
  </si>
  <si>
    <t>LED Voltage</t>
  </si>
  <si>
    <t>LED Current</t>
  </si>
  <si>
    <t>VR Voltage</t>
  </si>
  <si>
    <t>Actual Resistor</t>
  </si>
  <si>
    <t>Actual Current</t>
  </si>
  <si>
    <t>mA</t>
  </si>
  <si>
    <t>Ohms</t>
  </si>
  <si>
    <t>Ideal Resistor</t>
  </si>
  <si>
    <t>R1,R2 Ohms</t>
  </si>
  <si>
    <t>R3,R4 Ohms</t>
  </si>
  <si>
    <t>Sensor Volts</t>
  </si>
  <si>
    <t>RANGE</t>
  </si>
  <si>
    <t>GOAL</t>
  </si>
  <si>
    <t>Low</t>
  </si>
  <si>
    <t>High</t>
  </si>
  <si>
    <t>Ideal Low Range</t>
  </si>
  <si>
    <t>Ideal High Range</t>
  </si>
  <si>
    <t>NOTES:</t>
  </si>
  <si>
    <t>Zenor Calculator</t>
  </si>
  <si>
    <t>LD2</t>
  </si>
  <si>
    <t>LD1</t>
  </si>
  <si>
    <t>VR1</t>
  </si>
  <si>
    <t>VR2</t>
  </si>
  <si>
    <t>Z1</t>
  </si>
  <si>
    <t>Zener Voltage</t>
  </si>
  <si>
    <t>Zener Current</t>
  </si>
  <si>
    <t>Voltage Divider Calculator</t>
  </si>
  <si>
    <t>Vin</t>
  </si>
  <si>
    <t>Ideal Current</t>
  </si>
  <si>
    <t>Voffset</t>
  </si>
  <si>
    <t>Gnd</t>
  </si>
  <si>
    <t>Actual Voffset</t>
  </si>
  <si>
    <t>Ideal Voffset</t>
  </si>
  <si>
    <t>Humidistat Instrumentation Calculator</t>
  </si>
  <si>
    <t>IAD V-</t>
  </si>
  <si>
    <t>IAD V+ Range</t>
  </si>
  <si>
    <t>Sensor low</t>
  </si>
  <si>
    <t>Ideal divider</t>
  </si>
  <si>
    <t>Actual divider</t>
  </si>
  <si>
    <t>Viad</t>
  </si>
  <si>
    <t>Viad at Min</t>
  </si>
  <si>
    <t>Viad at Max</t>
  </si>
  <si>
    <t>IAD Steps</t>
  </si>
  <si>
    <t>IAD Resolution</t>
  </si>
  <si>
    <t>%RH</t>
  </si>
  <si>
    <t xml:space="preserve"> </t>
  </si>
  <si>
    <t>Resolution</t>
  </si>
  <si>
    <t>Sensor Range</t>
  </si>
  <si>
    <t>Steps</t>
  </si>
  <si>
    <t>Vsensor</t>
  </si>
  <si>
    <t>Isen @100%RH</t>
  </si>
  <si>
    <t>uA</t>
  </si>
  <si>
    <t>R10 Value</t>
  </si>
  <si>
    <t>R9 Value</t>
  </si>
  <si>
    <t>R10</t>
  </si>
  <si>
    <t>R9</t>
  </si>
  <si>
    <t>R5</t>
  </si>
  <si>
    <t>R6</t>
  </si>
  <si>
    <t>R6 Value</t>
  </si>
  <si>
    <t>Ideal R5 Value</t>
  </si>
  <si>
    <t>Actual R5 Value</t>
  </si>
  <si>
    <t>Ideal R1</t>
  </si>
  <si>
    <t>Ideal R2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</si>
</sst>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0" fillId="2" borderId="0" xfId="0" applyNumberFormat="1" applyFill="1" applyAlignment="1">
      <alignment/>
    </xf>
    <xf numFmtId="2" fontId="0" fillId="3" borderId="1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2" fillId="4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164" fontId="0" fillId="3" borderId="1" xfId="0" applyNumberFormat="1" applyFill="1" applyBorder="1" applyAlignment="1">
      <alignment/>
    </xf>
    <xf numFmtId="164" fontId="0" fillId="6" borderId="0" xfId="0" applyNumberFormat="1" applyFill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0" fillId="3" borderId="1" xfId="0" applyFill="1" applyBorder="1" applyAlignment="1">
      <alignment/>
    </xf>
    <xf numFmtId="0" fontId="5" fillId="7" borderId="0" xfId="0" applyFont="1" applyFill="1" applyAlignment="1">
      <alignment/>
    </xf>
    <xf numFmtId="0" fontId="0" fillId="4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3" fontId="0" fillId="3" borderId="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165" fontId="0" fillId="6" borderId="0" xfId="0" applyNumberFormat="1" applyFill="1" applyAlignment="1">
      <alignment/>
    </xf>
    <xf numFmtId="0" fontId="2" fillId="7" borderId="0" xfId="0" applyFont="1" applyFill="1" applyAlignment="1">
      <alignment horizontal="left"/>
    </xf>
    <xf numFmtId="2" fontId="0" fillId="2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6" borderId="0" xfId="0" applyFill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7" borderId="0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2" borderId="5" xfId="0" applyNumberFormat="1" applyFill="1" applyBorder="1" applyAlignment="1">
      <alignment/>
    </xf>
    <xf numFmtId="165" fontId="0" fillId="0" borderId="0" xfId="0" applyNumberFormat="1" applyAlignment="1">
      <alignment/>
    </xf>
    <xf numFmtId="1" fontId="0" fillId="2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20" sqref="B20"/>
    </sheetView>
  </sheetViews>
  <sheetFormatPr defaultColWidth="9.140625" defaultRowHeight="12.75"/>
  <cols>
    <col min="1" max="1" width="21.421875" style="5" customWidth="1"/>
    <col min="2" max="2" width="14.421875" style="0" customWidth="1"/>
    <col min="3" max="3" width="12.421875" style="0" customWidth="1"/>
    <col min="4" max="5" width="14.28125" style="0" customWidth="1"/>
    <col min="6" max="6" width="12.8515625" style="0" customWidth="1"/>
  </cols>
  <sheetData>
    <row r="1" spans="1:7" ht="26.25">
      <c r="A1" s="17"/>
      <c r="B1" s="18" t="s">
        <v>13</v>
      </c>
      <c r="C1" s="16"/>
      <c r="D1" s="16"/>
      <c r="E1" s="16"/>
      <c r="F1" s="16"/>
      <c r="G1" s="16"/>
    </row>
    <row r="3" spans="1:6" ht="12.75">
      <c r="A3" s="6" t="s">
        <v>34</v>
      </c>
      <c r="B3" s="24">
        <v>10000</v>
      </c>
      <c r="C3" s="33" t="s">
        <v>87</v>
      </c>
      <c r="D3" s="42">
        <f>B4/D5</f>
        <v>9848.216224949236</v>
      </c>
      <c r="E3" s="6" t="s">
        <v>36</v>
      </c>
      <c r="F3" s="2">
        <v>5</v>
      </c>
    </row>
    <row r="4" spans="1:6" ht="12.75">
      <c r="A4" s="6" t="s">
        <v>35</v>
      </c>
      <c r="B4" s="24">
        <v>61900</v>
      </c>
      <c r="C4" s="33" t="s">
        <v>88</v>
      </c>
      <c r="D4" s="42">
        <f>B3*D5</f>
        <v>62854.02207476317</v>
      </c>
      <c r="E4" s="12" t="s">
        <v>14</v>
      </c>
      <c r="F4" s="2">
        <v>0.01</v>
      </c>
    </row>
    <row r="5" spans="1:6" ht="12.75">
      <c r="A5" s="6" t="s">
        <v>1</v>
      </c>
      <c r="B5" s="43">
        <f>B4/B3</f>
        <v>6.19</v>
      </c>
      <c r="C5" s="33" t="s">
        <v>15</v>
      </c>
      <c r="D5" s="44">
        <f>$F$6/($B$6+$D$14)</f>
        <v>6.2854022074763165</v>
      </c>
      <c r="E5" s="6" t="s">
        <v>11</v>
      </c>
      <c r="F5" s="2">
        <v>1.5</v>
      </c>
    </row>
    <row r="6" spans="1:6" ht="12.75">
      <c r="A6" s="6" t="s">
        <v>0</v>
      </c>
      <c r="B6" s="2">
        <f>-(Sheet2!B34)+0.02</f>
        <v>-2.905311203319502</v>
      </c>
      <c r="C6" s="33" t="s">
        <v>3</v>
      </c>
      <c r="D6" s="34">
        <f>($F$5/$B$5)-$D$12</f>
        <v>-2.9395536672051703</v>
      </c>
      <c r="E6" s="6" t="s">
        <v>12</v>
      </c>
      <c r="F6" s="2">
        <v>9.4</v>
      </c>
    </row>
    <row r="7" spans="1:6" s="4" customFormat="1" ht="12.75">
      <c r="A7" s="7"/>
      <c r="E7" s="23" t="s">
        <v>2</v>
      </c>
      <c r="F7" s="22">
        <f>(F6-F5)/F4</f>
        <v>790</v>
      </c>
    </row>
    <row r="10" spans="1:6" s="8" customFormat="1" ht="12.75">
      <c r="A10" s="29" t="s">
        <v>38</v>
      </c>
      <c r="B10" s="10" t="s">
        <v>7</v>
      </c>
      <c r="C10" s="10" t="s">
        <v>6</v>
      </c>
      <c r="D10" s="9" t="s">
        <v>24</v>
      </c>
      <c r="E10" s="9" t="s">
        <v>22</v>
      </c>
      <c r="F10" s="9" t="s">
        <v>23</v>
      </c>
    </row>
    <row r="11" spans="1:6" ht="12.75">
      <c r="A11" s="9" t="s">
        <v>9</v>
      </c>
      <c r="B11" s="14">
        <v>15</v>
      </c>
      <c r="C11" s="1">
        <f>B11/3.386</f>
        <v>4.430005906674542</v>
      </c>
      <c r="D11" s="25">
        <f>$F$3*((0.009*B11)-0.095)</f>
        <v>0.1999999999999999</v>
      </c>
      <c r="E11" s="25">
        <f>D11+$B$6</f>
        <v>-2.705311203319502</v>
      </c>
      <c r="F11" s="25">
        <f>E11*$B$5</f>
        <v>-16.745876348547718</v>
      </c>
    </row>
    <row r="12" spans="1:6" ht="12.75">
      <c r="A12" s="9" t="s">
        <v>41</v>
      </c>
      <c r="B12" s="13">
        <f>24*3.386</f>
        <v>81.26400000000001</v>
      </c>
      <c r="C12" s="30">
        <f>B12/3.386</f>
        <v>24.000000000000004</v>
      </c>
      <c r="D12" s="25">
        <f>$F$3*((0.009*B12)-0.095)</f>
        <v>3.1818800000000005</v>
      </c>
      <c r="E12" s="25">
        <f>D12+$B$6</f>
        <v>0.2765687966804986</v>
      </c>
      <c r="F12" s="25">
        <f>E12*$B$5</f>
        <v>1.7119608514522864</v>
      </c>
    </row>
    <row r="13" spans="1:6" ht="12.75">
      <c r="A13" s="9" t="s">
        <v>8</v>
      </c>
      <c r="B13" s="14">
        <f>30*3.386</f>
        <v>101.58</v>
      </c>
      <c r="C13" s="1">
        <f>B13/3.386</f>
        <v>30</v>
      </c>
      <c r="D13" s="25">
        <f>$F$3*((0.009*B13)-0.095)</f>
        <v>4.0961</v>
      </c>
      <c r="E13" s="25">
        <f>D13+$B$6</f>
        <v>1.190788796680498</v>
      </c>
      <c r="F13" s="25">
        <f>E13*$B$5</f>
        <v>7.370982651452283</v>
      </c>
    </row>
    <row r="14" spans="1:6" ht="12.75">
      <c r="A14" s="9" t="s">
        <v>42</v>
      </c>
      <c r="B14" s="13">
        <f>32*3.386</f>
        <v>108.352</v>
      </c>
      <c r="C14" s="30">
        <f>B14/3.386</f>
        <v>32</v>
      </c>
      <c r="D14" s="25">
        <f>$F$3*((0.009*B14)-0.095)</f>
        <v>4.40084</v>
      </c>
      <c r="E14" s="25">
        <f>D14+$B$6</f>
        <v>1.4955287966804978</v>
      </c>
      <c r="F14" s="25">
        <f>E14*$B$5</f>
        <v>9.257323251452283</v>
      </c>
    </row>
    <row r="15" spans="1:6" ht="12.75">
      <c r="A15" s="9" t="s">
        <v>10</v>
      </c>
      <c r="B15" s="14">
        <v>115</v>
      </c>
      <c r="C15" s="1">
        <f>B15/3.386</f>
        <v>33.96337861783815</v>
      </c>
      <c r="D15" s="25">
        <f>$F$3*((0.009*B15)-0.095)</f>
        <v>4.699999999999999</v>
      </c>
      <c r="E15" s="25">
        <f>D15+$B$6</f>
        <v>1.7946887966804974</v>
      </c>
      <c r="F15" s="25">
        <f>E15*$B$5</f>
        <v>11.109123651452279</v>
      </c>
    </row>
    <row r="17" spans="1:4" s="11" customFormat="1" ht="12.75">
      <c r="A17" s="29" t="s">
        <v>37</v>
      </c>
      <c r="B17" s="10" t="s">
        <v>39</v>
      </c>
      <c r="C17" s="10" t="s">
        <v>40</v>
      </c>
      <c r="D17" s="9" t="s">
        <v>20</v>
      </c>
    </row>
    <row r="18" spans="1:5" ht="12.75">
      <c r="A18" s="6" t="s">
        <v>4</v>
      </c>
      <c r="B18" s="25">
        <f>$F$5</f>
        <v>1.5</v>
      </c>
      <c r="C18" s="25">
        <f>$F$6</f>
        <v>9.4</v>
      </c>
      <c r="D18" s="26">
        <f>$F$4</f>
        <v>0.01</v>
      </c>
      <c r="E18" s="27"/>
    </row>
    <row r="19" spans="1:5" ht="12.75">
      <c r="A19" s="6" t="s">
        <v>5</v>
      </c>
      <c r="B19" s="14">
        <f>((((B18/$B$5)-$B$6)/$F$3)+0.095)/0.009</f>
        <v>80.50305635809627</v>
      </c>
      <c r="C19" s="14">
        <f>((((C18/$B$5)-$B$6)/$F$3)+0.095)/0.009</f>
        <v>108.86421234445422</v>
      </c>
      <c r="D19" s="28">
        <f>((((D18/$B$5)-0)/$F$3)+0)/0.009</f>
        <v>0.03590019745108598</v>
      </c>
      <c r="E19" s="27"/>
    </row>
    <row r="20" spans="1:5" ht="12.75">
      <c r="A20" s="6" t="s">
        <v>6</v>
      </c>
      <c r="B20" s="1">
        <f>B19/3.386</f>
        <v>23.77526767811467</v>
      </c>
      <c r="C20" s="1">
        <f>C19/3.386</f>
        <v>32.151273580760254</v>
      </c>
      <c r="D20" s="3">
        <f>D19/3.386</f>
        <v>0.010602539117272883</v>
      </c>
      <c r="E20" s="27"/>
    </row>
    <row r="23" spans="1:2" ht="12.75">
      <c r="A23" s="5" t="s">
        <v>43</v>
      </c>
      <c r="B23" t="s">
        <v>16</v>
      </c>
    </row>
    <row r="24" ht="12.75">
      <c r="B24" t="s">
        <v>18</v>
      </c>
    </row>
    <row r="25" ht="12.75">
      <c r="B25" t="s">
        <v>17</v>
      </c>
    </row>
    <row r="26" ht="12.75">
      <c r="B26" t="s">
        <v>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0">
      <selection activeCell="B44" sqref="B44"/>
    </sheetView>
  </sheetViews>
  <sheetFormatPr defaultColWidth="9.140625" defaultRowHeight="12.75"/>
  <cols>
    <col min="1" max="1" width="14.57421875" style="0" customWidth="1"/>
    <col min="2" max="2" width="11.00390625" style="0" bestFit="1" customWidth="1"/>
    <col min="4" max="4" width="13.28125" style="0" customWidth="1"/>
    <col min="6" max="6" width="6.00390625" style="0" customWidth="1"/>
    <col min="7" max="7" width="5.57421875" style="0" customWidth="1"/>
  </cols>
  <sheetData>
    <row r="1" spans="1:4" ht="15.75">
      <c r="A1" s="20" t="s">
        <v>25</v>
      </c>
      <c r="B1" s="16"/>
      <c r="C1" s="16"/>
      <c r="D1" s="16"/>
    </row>
    <row r="3" spans="2:3" ht="12.75">
      <c r="B3" s="32" t="s">
        <v>46</v>
      </c>
      <c r="C3" s="32" t="s">
        <v>45</v>
      </c>
    </row>
    <row r="4" spans="1:4" ht="12.75">
      <c r="A4" s="21" t="s">
        <v>26</v>
      </c>
      <c r="B4" s="19">
        <v>2.2</v>
      </c>
      <c r="C4" s="19">
        <v>2.1</v>
      </c>
      <c r="D4" t="s">
        <v>21</v>
      </c>
    </row>
    <row r="5" spans="1:4" ht="12.75">
      <c r="A5" s="21" t="s">
        <v>27</v>
      </c>
      <c r="B5" s="19">
        <v>11</v>
      </c>
      <c r="C5" s="19">
        <v>11</v>
      </c>
      <c r="D5" t="s">
        <v>31</v>
      </c>
    </row>
    <row r="6" ht="12.75">
      <c r="A6" s="4"/>
    </row>
    <row r="7" spans="1:3" ht="12.75">
      <c r="A7" s="4"/>
      <c r="B7" s="32" t="s">
        <v>47</v>
      </c>
      <c r="C7" s="32" t="s">
        <v>48</v>
      </c>
    </row>
    <row r="8" spans="1:4" ht="12.75">
      <c r="A8" s="21" t="s">
        <v>28</v>
      </c>
      <c r="B8" s="19">
        <v>10</v>
      </c>
      <c r="C8" s="19">
        <v>5</v>
      </c>
      <c r="D8" t="s">
        <v>21</v>
      </c>
    </row>
    <row r="9" spans="1:4" ht="12.75">
      <c r="A9" s="21" t="s">
        <v>33</v>
      </c>
      <c r="B9" s="4">
        <f>(B8-B4)/(B5/1000)</f>
        <v>709.0909090909091</v>
      </c>
      <c r="C9" s="4">
        <f>(C8-C4)/(C5/1000)</f>
        <v>263.6363636363636</v>
      </c>
      <c r="D9" t="s">
        <v>32</v>
      </c>
    </row>
    <row r="10" spans="1:4" ht="12.75">
      <c r="A10" s="21" t="s">
        <v>29</v>
      </c>
      <c r="B10" s="19">
        <v>820</v>
      </c>
      <c r="C10" s="19">
        <v>270</v>
      </c>
      <c r="D10" t="s">
        <v>32</v>
      </c>
    </row>
    <row r="11" spans="1:4" ht="12.75">
      <c r="A11" s="21" t="s">
        <v>30</v>
      </c>
      <c r="B11" s="1">
        <f>(B8-B4)/(B10)*1000</f>
        <v>9.512195121951219</v>
      </c>
      <c r="C11" s="1">
        <f>(C8-C4)/(C10)*1000</f>
        <v>10.74074074074074</v>
      </c>
      <c r="D11" t="s">
        <v>31</v>
      </c>
    </row>
    <row r="14" spans="1:4" ht="15.75">
      <c r="A14" s="20" t="s">
        <v>44</v>
      </c>
      <c r="B14" s="16"/>
      <c r="C14" s="16"/>
      <c r="D14" s="16"/>
    </row>
    <row r="16" ht="12.75">
      <c r="B16" s="32" t="s">
        <v>49</v>
      </c>
    </row>
    <row r="17" spans="1:3" ht="12.75">
      <c r="A17" s="21" t="s">
        <v>28</v>
      </c>
      <c r="B17" s="19">
        <v>10</v>
      </c>
      <c r="C17" t="s">
        <v>21</v>
      </c>
    </row>
    <row r="18" spans="1:3" ht="12.75">
      <c r="A18" s="21" t="s">
        <v>50</v>
      </c>
      <c r="B18" s="19">
        <f>-1*Sheet1!B6</f>
        <v>2.905311203319502</v>
      </c>
      <c r="C18" t="s">
        <v>21</v>
      </c>
    </row>
    <row r="19" spans="1:3" ht="12.75">
      <c r="A19" s="21" t="s">
        <v>51</v>
      </c>
      <c r="B19" s="19">
        <v>15</v>
      </c>
      <c r="C19" t="s">
        <v>31</v>
      </c>
    </row>
    <row r="20" spans="1:3" ht="12.75">
      <c r="A20" s="21" t="s">
        <v>33</v>
      </c>
      <c r="B20" s="31">
        <f>(B17-B18)/(B19/1000)</f>
        <v>472.97925311203323</v>
      </c>
      <c r="C20" t="s">
        <v>32</v>
      </c>
    </row>
    <row r="21" spans="1:3" ht="12.75">
      <c r="A21" s="21" t="s">
        <v>29</v>
      </c>
      <c r="B21" s="24">
        <v>620</v>
      </c>
      <c r="C21" t="s">
        <v>32</v>
      </c>
    </row>
    <row r="22" spans="1:3" ht="12.75">
      <c r="A22" s="21" t="s">
        <v>30</v>
      </c>
      <c r="B22" s="15">
        <f>(B17-B18)/B21*1000</f>
        <v>11.443046446258869</v>
      </c>
      <c r="C22" t="s">
        <v>31</v>
      </c>
    </row>
    <row r="25" spans="1:4" ht="15.75">
      <c r="A25" s="36" t="s">
        <v>52</v>
      </c>
      <c r="B25" s="16"/>
      <c r="C25" s="16"/>
      <c r="D25" s="16"/>
    </row>
    <row r="27" spans="1:2" ht="12.75">
      <c r="A27" s="21" t="s">
        <v>53</v>
      </c>
      <c r="B27" s="2">
        <f>Sheet1!F3</f>
        <v>5</v>
      </c>
    </row>
    <row r="28" spans="1:5" ht="12.75">
      <c r="A28" s="21" t="s">
        <v>58</v>
      </c>
      <c r="B28" s="2">
        <f>-(Sheet1!D6)+0.02</f>
        <v>2.9595536672051703</v>
      </c>
      <c r="C28" t="s">
        <v>21</v>
      </c>
      <c r="E28" s="37" t="s">
        <v>53</v>
      </c>
    </row>
    <row r="29" spans="1:5" ht="12.75">
      <c r="A29" s="21" t="s">
        <v>84</v>
      </c>
      <c r="B29" s="24">
        <v>14100</v>
      </c>
      <c r="C29" t="s">
        <v>32</v>
      </c>
      <c r="E29" s="38" t="s">
        <v>82</v>
      </c>
    </row>
    <row r="30" spans="1:5" ht="12.75">
      <c r="A30" s="21" t="s">
        <v>54</v>
      </c>
      <c r="B30" s="34">
        <f>((B28)/B29)*1000</f>
        <v>0.20989742320604046</v>
      </c>
      <c r="C30" t="s">
        <v>31</v>
      </c>
      <c r="E30" s="39" t="s">
        <v>55</v>
      </c>
    </row>
    <row r="31" spans="1:5" ht="12.75">
      <c r="A31" s="21" t="s">
        <v>85</v>
      </c>
      <c r="B31" s="35">
        <f>(B27-B28)/(B30/1000)</f>
        <v>9721.159515102181</v>
      </c>
      <c r="C31" t="s">
        <v>32</v>
      </c>
      <c r="E31" s="38" t="s">
        <v>83</v>
      </c>
    </row>
    <row r="32" spans="1:5" ht="12.75">
      <c r="A32" s="21" t="s">
        <v>86</v>
      </c>
      <c r="B32" s="24">
        <v>10000</v>
      </c>
      <c r="C32" t="s">
        <v>32</v>
      </c>
      <c r="E32" s="40" t="s">
        <v>56</v>
      </c>
    </row>
    <row r="33" spans="1:3" ht="12.75">
      <c r="A33" s="21" t="s">
        <v>30</v>
      </c>
      <c r="B33" s="34">
        <f>(B27/(B29+B32))*1000</f>
        <v>0.20746887966804978</v>
      </c>
      <c r="C33" t="s">
        <v>31</v>
      </c>
    </row>
    <row r="34" spans="1:3" ht="12.75">
      <c r="A34" s="21" t="s">
        <v>57</v>
      </c>
      <c r="B34" s="1">
        <f>B29*(B33/1000)</f>
        <v>2.925311203319502</v>
      </c>
      <c r="C34" t="s">
        <v>21</v>
      </c>
    </row>
    <row r="37" spans="1:6" ht="15.75">
      <c r="A37" s="20" t="s">
        <v>59</v>
      </c>
      <c r="B37" s="16"/>
      <c r="C37" s="16"/>
      <c r="D37" s="16"/>
      <c r="E37" s="16"/>
      <c r="F37" s="16"/>
    </row>
    <row r="39" spans="1:8" ht="12.75">
      <c r="A39" s="21" t="s">
        <v>60</v>
      </c>
      <c r="B39" s="41">
        <v>0</v>
      </c>
      <c r="C39" t="s">
        <v>21</v>
      </c>
      <c r="D39" s="21" t="s">
        <v>62</v>
      </c>
      <c r="E39" s="41">
        <v>0.958</v>
      </c>
      <c r="F39" t="s">
        <v>21</v>
      </c>
      <c r="G39">
        <v>0</v>
      </c>
      <c r="H39" t="s">
        <v>70</v>
      </c>
    </row>
    <row r="40" spans="1:8" ht="12.75">
      <c r="A40" s="21" t="s">
        <v>61</v>
      </c>
      <c r="B40" s="41">
        <v>0.25</v>
      </c>
      <c r="C40" t="s">
        <v>21</v>
      </c>
      <c r="D40" s="21" t="s">
        <v>10</v>
      </c>
      <c r="E40" s="41">
        <v>4.07</v>
      </c>
      <c r="F40" t="s">
        <v>21</v>
      </c>
      <c r="G40">
        <v>100</v>
      </c>
      <c r="H40" t="s">
        <v>70</v>
      </c>
    </row>
    <row r="41" spans="1:8" ht="12.75">
      <c r="A41" s="21" t="s">
        <v>68</v>
      </c>
      <c r="B41">
        <f>2^10</f>
        <v>1024</v>
      </c>
      <c r="D41" t="s">
        <v>73</v>
      </c>
      <c r="E41" s="41">
        <f>E40-E39</f>
        <v>3.112</v>
      </c>
      <c r="F41" t="s">
        <v>21</v>
      </c>
      <c r="G41">
        <f>G40-G39</f>
        <v>100</v>
      </c>
      <c r="H41" t="s">
        <v>70</v>
      </c>
    </row>
    <row r="42" spans="1:3" ht="12.75">
      <c r="A42" s="21" t="s">
        <v>69</v>
      </c>
      <c r="B42">
        <f>(B40-B39)/B41</f>
        <v>0.000244140625</v>
      </c>
      <c r="C42" t="s">
        <v>21</v>
      </c>
    </row>
    <row r="43" ht="12.75">
      <c r="A43" s="21"/>
    </row>
    <row r="44" spans="1:5" ht="12.75">
      <c r="A44" s="21" t="s">
        <v>78</v>
      </c>
      <c r="B44" s="19">
        <v>178000</v>
      </c>
      <c r="C44" t="s">
        <v>32</v>
      </c>
      <c r="E44" s="37" t="s">
        <v>75</v>
      </c>
    </row>
    <row r="45" spans="1:5" ht="12.75">
      <c r="A45" s="21" t="s">
        <v>79</v>
      </c>
      <c r="B45" s="19">
        <v>10000</v>
      </c>
      <c r="C45" t="s">
        <v>32</v>
      </c>
      <c r="E45" s="38" t="s">
        <v>80</v>
      </c>
    </row>
    <row r="46" spans="1:5" ht="12.75">
      <c r="A46" s="21" t="s">
        <v>76</v>
      </c>
      <c r="B46" s="45">
        <f>E40/(B44+B45)*1000000</f>
        <v>21.648936170212767</v>
      </c>
      <c r="C46" t="s">
        <v>77</v>
      </c>
      <c r="E46" s="39" t="s">
        <v>65</v>
      </c>
    </row>
    <row r="47" spans="1:5" ht="12.75">
      <c r="A47" s="21"/>
      <c r="E47" s="38" t="s">
        <v>81</v>
      </c>
    </row>
    <row r="48" spans="1:5" ht="12.75">
      <c r="A48" s="21" t="s">
        <v>63</v>
      </c>
      <c r="B48">
        <f>E40/B40</f>
        <v>16.28</v>
      </c>
      <c r="C48" t="s">
        <v>71</v>
      </c>
      <c r="E48" s="40" t="s">
        <v>56</v>
      </c>
    </row>
    <row r="49" spans="1:2" ht="12.75">
      <c r="A49" s="21" t="s">
        <v>64</v>
      </c>
      <c r="B49" s="15">
        <f>(B44+B45)/B45</f>
        <v>18.8</v>
      </c>
    </row>
    <row r="50" ht="12.75">
      <c r="A50" s="21"/>
    </row>
    <row r="51" spans="1:3" ht="12.75">
      <c r="A51" s="21" t="s">
        <v>66</v>
      </c>
      <c r="B51" s="41">
        <f>(E39/B49)</f>
        <v>0.05095744680851064</v>
      </c>
      <c r="C51" t="s">
        <v>21</v>
      </c>
    </row>
    <row r="52" spans="1:3" ht="12.75">
      <c r="A52" s="21" t="s">
        <v>67</v>
      </c>
      <c r="B52" s="41">
        <f>(E40/B49)</f>
        <v>0.21648936170212765</v>
      </c>
      <c r="C52" t="s">
        <v>21</v>
      </c>
    </row>
    <row r="53" spans="1:5" ht="12.75">
      <c r="A53" s="21" t="s">
        <v>72</v>
      </c>
      <c r="B53" s="42">
        <f>(B52-B51)/B42</f>
        <v>678.0187234042553</v>
      </c>
      <c r="C53" t="s">
        <v>74</v>
      </c>
      <c r="D53" s="1">
        <f>G41/B53</f>
        <v>0.14748855237789205</v>
      </c>
      <c r="E53" t="s">
        <v>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 G. Miller</cp:lastModifiedBy>
  <dcterms:created xsi:type="dcterms:W3CDTF">2001-10-23T21:56:15Z</dcterms:created>
  <dcterms:modified xsi:type="dcterms:W3CDTF">2001-12-16T01:39:08Z</dcterms:modified>
  <cp:category/>
  <cp:version/>
  <cp:contentType/>
  <cp:contentStatus/>
</cp:coreProperties>
</file>